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theicct-my.sharepoint.com/personal/zifei_yang_theicct_org/Documents/PV/Unit converstion factors/Global PV Standard on-going update/Coversion factor/"/>
    </mc:Choice>
  </mc:AlternateContent>
  <xr:revisionPtr revIDLastSave="1" documentId="13_ncr:1_{A4417473-BC81-3D45-8ABD-392E16A9B162}" xr6:coauthVersionLast="47" xr6:coauthVersionMax="47" xr10:uidLastSave="{A1E3589E-3B2A-684E-B550-C2B91CE33BC1}"/>
  <bookViews>
    <workbookView xWindow="940" yWindow="500" windowWidth="21920" windowHeight="13980" tabRatio="829" xr2:uid="{00000000-000D-0000-FFFF-FFFF00000000}"/>
  </bookViews>
  <sheets>
    <sheet name="Calculator" sheetId="6" r:id="rId1"/>
    <sheet name="Assumptions" sheetId="7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6" l="1"/>
  <c r="N9" i="6"/>
  <c r="K6" i="6"/>
  <c r="L6" i="6"/>
  <c r="M6" i="6"/>
  <c r="N6" i="6"/>
  <c r="O6" i="6"/>
  <c r="O9" i="6"/>
  <c r="C7" i="7"/>
  <c r="B31" i="7"/>
  <c r="C25" i="7"/>
  <c r="M12" i="6"/>
  <c r="M10" i="6"/>
  <c r="Q14" i="6"/>
  <c r="Q13" i="6"/>
  <c r="Q12" i="6"/>
  <c r="Q11" i="6"/>
  <c r="Q10" i="6"/>
  <c r="Q9" i="6"/>
  <c r="D18" i="6"/>
  <c r="M13" i="6"/>
  <c r="M14" i="6"/>
  <c r="M11" i="6"/>
  <c r="C6" i="7"/>
  <c r="C8" i="7"/>
  <c r="C9" i="7"/>
  <c r="C10" i="7"/>
  <c r="C11" i="7"/>
  <c r="C12" i="7"/>
  <c r="C13" i="7"/>
  <c r="C14" i="7"/>
  <c r="C15" i="7"/>
  <c r="C16" i="7"/>
  <c r="C17" i="7"/>
  <c r="BE52" i="6"/>
  <c r="BE47" i="6"/>
  <c r="BD26" i="6"/>
  <c r="BE49" i="6"/>
  <c r="BE48" i="6"/>
  <c r="BE50" i="6"/>
  <c r="E32" i="7"/>
  <c r="E34" i="7"/>
  <c r="D32" i="7"/>
  <c r="D34" i="7"/>
  <c r="C32" i="7"/>
  <c r="C34" i="7"/>
  <c r="B32" i="7"/>
  <c r="B34" i="7"/>
  <c r="F30" i="7"/>
  <c r="F31" i="7"/>
  <c r="E31" i="7"/>
  <c r="D31" i="7"/>
  <c r="C31" i="7"/>
  <c r="BG44" i="6"/>
  <c r="BE53" i="6"/>
  <c r="BE51" i="6"/>
  <c r="BI44" i="6"/>
  <c r="BH44" i="6"/>
  <c r="BF44" i="6"/>
  <c r="BF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Zifei Yang</author>
  </authors>
  <commentList>
    <comment ref="F32" authorId="0" shapeId="0" xr:uid="{00000000-0006-0000-0100-000001000000}">
      <text>
        <r>
          <rPr>
            <b/>
            <sz val="9"/>
            <color indexed="81"/>
            <rFont val="Arial"/>
            <family val="2"/>
          </rPr>
          <t>Zifei Yang:</t>
        </r>
        <r>
          <rPr>
            <sz val="9"/>
            <color indexed="81"/>
            <rFont val="Arial"/>
            <family val="2"/>
          </rPr>
          <t xml:space="preserve">
Source: projectolEMA</t>
        </r>
      </text>
    </comment>
  </commentList>
</comments>
</file>

<file path=xl/sharedStrings.xml><?xml version="1.0" encoding="utf-8"?>
<sst xmlns="http://schemas.openxmlformats.org/spreadsheetml/2006/main" count="167" uniqueCount="101">
  <si>
    <t>g/km</t>
  </si>
  <si>
    <t>From</t>
    <phoneticPr fontId="1" type="noConversion"/>
  </si>
  <si>
    <t>To</t>
    <phoneticPr fontId="1" type="noConversion"/>
  </si>
  <si>
    <t>Choose Cycle</t>
    <phoneticPr fontId="1" type="noConversion"/>
  </si>
  <si>
    <t>Input Value</t>
    <phoneticPr fontId="1" type="noConversion"/>
  </si>
  <si>
    <t>Result</t>
    <phoneticPr fontId="1" type="noConversion"/>
  </si>
  <si>
    <t>Cycle Code</t>
    <phoneticPr fontId="1" type="noConversion"/>
  </si>
  <si>
    <t>CAFE Cycle</t>
    <phoneticPr fontId="1" type="noConversion"/>
  </si>
  <si>
    <t>NEDC Cycle</t>
    <phoneticPr fontId="1" type="noConversion"/>
  </si>
  <si>
    <t>JC 08 Cycle</t>
    <phoneticPr fontId="1" type="noConversion"/>
  </si>
  <si>
    <t>MPG</t>
    <phoneticPr fontId="1" type="noConversion"/>
  </si>
  <si>
    <t>Km/L</t>
    <phoneticPr fontId="1" type="noConversion"/>
  </si>
  <si>
    <t>L/100-Km</t>
    <phoneticPr fontId="1" type="noConversion"/>
  </si>
  <si>
    <t>gCO2/km</t>
    <phoneticPr fontId="1" type="noConversion"/>
  </si>
  <si>
    <t>gCO2/mil</t>
    <phoneticPr fontId="1" type="noConversion"/>
  </si>
  <si>
    <t>Fuel Code</t>
    <phoneticPr fontId="1" type="noConversion"/>
  </si>
  <si>
    <t>Petrol</t>
    <phoneticPr fontId="1" type="noConversion"/>
  </si>
  <si>
    <t>Diesel</t>
    <phoneticPr fontId="1" type="noConversion"/>
  </si>
  <si>
    <t>LPG</t>
    <phoneticPr fontId="1" type="noConversion"/>
  </si>
  <si>
    <t>CNG</t>
    <phoneticPr fontId="1" type="noConversion"/>
  </si>
  <si>
    <t>From</t>
    <phoneticPr fontId="1"/>
  </si>
  <si>
    <t>mpg</t>
    <phoneticPr fontId="1"/>
  </si>
  <si>
    <t>gCo2/km</t>
    <phoneticPr fontId="1"/>
  </si>
  <si>
    <t>Intermediate input 1</t>
    <phoneticPr fontId="1" type="noConversion"/>
  </si>
  <si>
    <t>Intermediate output 3</t>
    <phoneticPr fontId="1" type="noConversion"/>
  </si>
  <si>
    <t>Intermediate output 5</t>
    <phoneticPr fontId="1" type="noConversion"/>
  </si>
  <si>
    <t>Intermediate input 2</t>
    <phoneticPr fontId="1" type="noConversion"/>
  </si>
  <si>
    <t>Cycle Scenario</t>
    <phoneticPr fontId="1" type="noConversion"/>
  </si>
  <si>
    <t>Unit Code</t>
    <phoneticPr fontId="1" type="noConversion"/>
  </si>
  <si>
    <t>Unit Scenario</t>
    <phoneticPr fontId="1" type="noConversion"/>
  </si>
  <si>
    <t>To</t>
    <phoneticPr fontId="1"/>
  </si>
  <si>
    <t>Formula</t>
    <phoneticPr fontId="1"/>
  </si>
  <si>
    <t>a/</t>
    <phoneticPr fontId="1"/>
  </si>
  <si>
    <t>Intermediate output 4</t>
    <phoneticPr fontId="1" type="noConversion"/>
  </si>
  <si>
    <t>Intermediate output 1</t>
    <phoneticPr fontId="1" type="noConversion"/>
  </si>
  <si>
    <t>Intermediate output 2</t>
    <phoneticPr fontId="1" type="noConversion"/>
  </si>
  <si>
    <t>Petrol</t>
  </si>
  <si>
    <t>Diesel</t>
  </si>
  <si>
    <t>LPG</t>
  </si>
  <si>
    <t>CNG</t>
  </si>
  <si>
    <t>lb/gal</t>
  </si>
  <si>
    <t xml:space="preserve">gallon </t>
  </si>
  <si>
    <t>liter</t>
  </si>
  <si>
    <t>mile</t>
  </si>
  <si>
    <t>km</t>
  </si>
  <si>
    <t>lb</t>
  </si>
  <si>
    <t>gram</t>
  </si>
  <si>
    <t>km/L</t>
  </si>
  <si>
    <t>Control Area Below, Do not edit</t>
    <phoneticPr fontId="1" type="noConversion"/>
  </si>
  <si>
    <t>mpg</t>
  </si>
  <si>
    <t>Fleet Diesel Penetration</t>
  </si>
  <si>
    <t>%</t>
  </si>
  <si>
    <t>Test cycle convertion</t>
  </si>
  <si>
    <t>Universal approach:</t>
  </si>
  <si>
    <t>DS: fleet diesel share</t>
  </si>
  <si>
    <t>C2</t>
  </si>
  <si>
    <t>C1</t>
  </si>
  <si>
    <t>a1</t>
  </si>
  <si>
    <t>a2</t>
  </si>
  <si>
    <t>[g CO2 / km]</t>
  </si>
  <si>
    <t>[-]</t>
  </si>
  <si>
    <t>CAFE</t>
  </si>
  <si>
    <t>NEDC</t>
  </si>
  <si>
    <t>JC08</t>
  </si>
  <si>
    <t>WLTC</t>
  </si>
  <si>
    <t>Unit convertion</t>
  </si>
  <si>
    <t>From</t>
  </si>
  <si>
    <t>To</t>
  </si>
  <si>
    <t>Fuel CO2 content factors</t>
  </si>
  <si>
    <t>E22</t>
  </si>
  <si>
    <t>g/gal</t>
  </si>
  <si>
    <t>g/L</t>
  </si>
  <si>
    <t>Energy content conver factor [1]</t>
  </si>
  <si>
    <t>MJ/l</t>
  </si>
  <si>
    <t>MJ/kg</t>
  </si>
  <si>
    <t>kg/l</t>
  </si>
  <si>
    <t>E00</t>
  </si>
  <si>
    <t>E100</t>
  </si>
  <si>
    <t>Notes:</t>
  </si>
  <si>
    <t>[1]  INMETRO (National Institute of Metrology, Quality and Technology) data</t>
  </si>
  <si>
    <t>g/mil</t>
  </si>
  <si>
    <t>L/100km</t>
  </si>
  <si>
    <t>MJ/km</t>
  </si>
  <si>
    <t>Test cycle list</t>
  </si>
  <si>
    <t>Unit list</t>
  </si>
  <si>
    <t>C2 = (a1 * DS + a2) * C1 + d1 * DS + d2</t>
  </si>
  <si>
    <t>d1</t>
  </si>
  <si>
    <t>d2</t>
  </si>
  <si>
    <t>l/100km</t>
  </si>
  <si>
    <t>g/km From</t>
  </si>
  <si>
    <t>g/km To</t>
  </si>
  <si>
    <t>Calculator</t>
  </si>
  <si>
    <t xml:space="preserve"> After you input value, please hit "enter"</t>
  </si>
  <si>
    <t>Choose Unit</t>
  </si>
  <si>
    <t xml:space="preserve"> Click on D6/E6, select from pull-down menu</t>
  </si>
  <si>
    <t xml:space="preserve"> Click on D10/E10, select from pull-down menu</t>
  </si>
  <si>
    <r>
      <t xml:space="preserve"> To convert value for individual vehicle, please 
 input "</t>
    </r>
    <r>
      <rPr>
        <b/>
        <sz val="11"/>
        <color theme="4"/>
        <rFont val="Arial"/>
        <family val="2"/>
      </rPr>
      <t>0</t>
    </r>
    <r>
      <rPr>
        <sz val="11"/>
        <color theme="4"/>
        <rFont val="Arial"/>
        <family val="2"/>
      </rPr>
      <t>" for gasoline vehicle, 
 input "</t>
    </r>
    <r>
      <rPr>
        <b/>
        <sz val="11"/>
        <color theme="4"/>
        <rFont val="Arial"/>
        <family val="2"/>
      </rPr>
      <t>100</t>
    </r>
    <r>
      <rPr>
        <sz val="11"/>
        <color theme="4"/>
        <rFont val="Arial"/>
        <family val="2"/>
      </rPr>
      <t>" for diesel vehicle</t>
    </r>
  </si>
  <si>
    <r>
      <t>g/km 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</si>
  <si>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g/mil  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</si>
  <si>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Note: all data in the result are converted to gasoline equivalent</t>
  </si>
  <si>
    <t>Last updated: Nov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</si>
</sst>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0"/>
    <numFmt numFmtId="178" formatCode="_ * #,##0.00_ ;_ * \-#,##0.00_ ;_ * &quot;-&quot;??_ ;_ @_ "/>
  </numFmts>
  <fonts count="33">
    <font>
      <sz val="10"/>
      <name val="Verdana"/>
    </font>
    <font>
      <sz val="8"/>
      <name val="Verdana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color indexed="55"/>
      <name val="Arial"/>
      <family val="2"/>
    </font>
    <font>
      <sz val="10"/>
      <color indexed="55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color indexed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5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b/>
      <sz val="10"/>
      <color theme="0"/>
      <name val="Arial"/>
      <family val="2"/>
    </font>
    <font>
      <sz val="10"/>
      <color theme="4"/>
      <name val="Arial"/>
      <family val="2"/>
    </font>
    <font>
      <sz val="11"/>
      <color theme="4"/>
      <name val="Verdana"/>
      <family val="2"/>
    </font>
    <font>
      <vertAlign val="subscript"/>
      <sz val="10"/>
      <name val="Arial"/>
      <family val="2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178" fontId="1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2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176" fontId="8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7" fontId="7" fillId="0" borderId="0" xfId="0" applyNumberFormat="1" applyFont="1" applyFill="1" applyBorder="1"/>
    <xf numFmtId="177" fontId="7" fillId="0" borderId="0" xfId="0" applyNumberFormat="1" applyFont="1" applyFill="1"/>
    <xf numFmtId="176" fontId="8" fillId="0" borderId="0" xfId="0" applyNumberFormat="1" applyFont="1" applyFill="1" applyBorder="1" applyAlignment="1">
      <alignment horizontal="center"/>
    </xf>
    <xf numFmtId="0" fontId="13" fillId="3" borderId="0" xfId="77" applyFont="1" applyFill="1"/>
    <xf numFmtId="0" fontId="4" fillId="0" borderId="0" xfId="77"/>
    <xf numFmtId="0" fontId="14" fillId="0" borderId="0" xfId="77" applyFont="1"/>
    <xf numFmtId="0" fontId="15" fillId="0" borderId="0" xfId="77" applyFont="1"/>
    <xf numFmtId="0" fontId="2" fillId="0" borderId="0" xfId="77" applyFont="1"/>
    <xf numFmtId="0" fontId="4" fillId="0" borderId="0" xfId="77" applyAlignment="1">
      <alignment horizontal="center"/>
    </xf>
    <xf numFmtId="0" fontId="4" fillId="0" borderId="0" xfId="77" applyAlignment="1">
      <alignment horizontal="right"/>
    </xf>
    <xf numFmtId="0" fontId="16" fillId="0" borderId="0" xfId="77" applyFont="1" applyFill="1"/>
    <xf numFmtId="2" fontId="14" fillId="0" borderId="0" xfId="77" applyNumberFormat="1" applyFont="1"/>
    <xf numFmtId="176" fontId="15" fillId="0" borderId="0" xfId="77" applyNumberFormat="1" applyFont="1"/>
    <xf numFmtId="1" fontId="15" fillId="0" borderId="0" xfId="77" applyNumberFormat="1" applyFont="1"/>
    <xf numFmtId="177" fontId="15" fillId="0" borderId="0" xfId="77" applyNumberFormat="1" applyFont="1"/>
    <xf numFmtId="3" fontId="4" fillId="0" borderId="0" xfId="77" applyNumberFormat="1"/>
    <xf numFmtId="0" fontId="17" fillId="3" borderId="0" xfId="77" applyFont="1" applyFill="1"/>
    <xf numFmtId="0" fontId="4" fillId="0" borderId="0" xfId="0" applyFont="1" applyAlignment="1">
      <alignment horizontal="right"/>
    </xf>
    <xf numFmtId="0" fontId="3" fillId="0" borderId="0" xfId="77" applyFont="1" applyAlignment="1">
      <alignment horizontal="right"/>
    </xf>
    <xf numFmtId="0" fontId="21" fillId="0" borderId="0" xfId="0" applyFont="1"/>
    <xf numFmtId="0" fontId="22" fillId="0" borderId="0" xfId="77" applyFont="1" applyAlignment="1">
      <alignment horizontal="center"/>
    </xf>
    <xf numFmtId="0" fontId="22" fillId="0" borderId="0" xfId="77" applyFont="1" applyAlignment="1">
      <alignment horizontal="right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176" fontId="2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0" fillId="0" borderId="0" xfId="0" applyFont="1" applyBorder="1"/>
    <xf numFmtId="0" fontId="20" fillId="0" borderId="6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6" xfId="0" applyFont="1" applyBorder="1"/>
    <xf numFmtId="0" fontId="23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2" fillId="0" borderId="6" xfId="0" applyFont="1" applyBorder="1"/>
    <xf numFmtId="0" fontId="12" fillId="0" borderId="0" xfId="0" applyFont="1" applyBorder="1"/>
    <xf numFmtId="0" fontId="12" fillId="0" borderId="6" xfId="0" applyFont="1" applyBorder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6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11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7" xfId="0" applyFont="1" applyBorder="1" applyAlignment="1"/>
    <xf numFmtId="0" fontId="4" fillId="0" borderId="9" xfId="0" applyFont="1" applyBorder="1" applyAlignment="1"/>
    <xf numFmtId="0" fontId="26" fillId="0" borderId="0" xfId="0" applyFont="1" applyFill="1"/>
    <xf numFmtId="0" fontId="29" fillId="0" borderId="0" xfId="0" applyFont="1" applyAlignment="1">
      <alignment horizontal="left" wrapText="1"/>
    </xf>
    <xf numFmtId="0" fontId="29" fillId="0" borderId="8" xfId="0" applyFont="1" applyBorder="1" applyAlignment="1">
      <alignment horizontal="left" vertical="center"/>
    </xf>
    <xf numFmtId="0" fontId="26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0" fontId="25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8" fillId="4" borderId="2" xfId="77" applyFont="1" applyFill="1" applyBorder="1" applyAlignment="1">
      <alignment horizontal="center"/>
    </xf>
    <xf numFmtId="0" fontId="28" fillId="4" borderId="4" xfId="77" applyFont="1" applyFill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6" xfId="0" applyFont="1" applyBorder="1" applyAlignment="1">
      <alignment horizontal="left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  <cellStyle name="Normal 2" xfId="77" xr:uid="{00000000-0005-0000-0000-00005F000000}"/>
    <cellStyle name="千分位_27" xfId="78" xr:uid="{00000000-0005-0000-0000-000060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ICCT 2011">
  <a:themeElements>
    <a:clrScheme name="ICCT 2011">
      <a:dk1>
        <a:sysClr val="windowText" lastClr="000000"/>
      </a:dk1>
      <a:lt1>
        <a:sysClr val="window" lastClr="FFFFFF"/>
      </a:lt1>
      <a:dk2>
        <a:srgbClr val="45555F"/>
      </a:dk2>
      <a:lt2>
        <a:srgbClr val="DED5B3"/>
      </a:lt2>
      <a:accent1>
        <a:srgbClr val="4E3227"/>
      </a:accent1>
      <a:accent2>
        <a:srgbClr val="007A94"/>
      </a:accent2>
      <a:accent3>
        <a:srgbClr val="D6492A"/>
      </a:accent3>
      <a:accent4>
        <a:srgbClr val="642566"/>
      </a:accent4>
      <a:accent5>
        <a:srgbClr val="6C953C"/>
      </a:accent5>
      <a:accent6>
        <a:srgbClr val="F4AF00"/>
      </a:accent6>
      <a:hlink>
        <a:srgbClr val="007A94"/>
      </a:hlink>
      <a:folHlink>
        <a:srgbClr val="6C953C"/>
      </a:folHlink>
    </a:clrScheme>
    <a:fontScheme name="Custom 1">
      <a:majorFont>
        <a:latin typeface="Helvetica"/>
        <a:ea typeface="ＭＳ Ｐゴシック"/>
        <a:cs typeface="ＭＳ Ｐゴシック"/>
      </a:majorFont>
      <a:minorFont>
        <a:latin typeface="Helvetica"/>
        <a:ea typeface="ＭＳ Ｐゴシック"/>
        <a:cs typeface="ＭＳ Ｐゴシック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ＭＳ Ｐゴシック" charset="-128"/>
            <a:cs typeface="ＭＳ Ｐゴシック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  <a:ea typeface="ＭＳ Ｐゴシック" charset="-128"/>
            <a:cs typeface="ＭＳ Ｐゴシック" charset="-128"/>
          </a:defRPr>
        </a:defPPr>
      </a:lstStyle>
    </a:lnDef>
  </a:objectDefaults>
  <a:extraClrSchemeLst>
    <a:extraClrScheme>
      <a:clrScheme name="PresentationTemplat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PresentationTemplat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PresentationTemplat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PresentationTemplat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PresentationTemplat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PresentationTemplat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PresentationTemplat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PresentationTemplat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PresentationTemplat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PresentationTemplat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PresentationTemplat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PresentationTemplat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BI73"/>
  <sheetViews>
    <sheetView showGridLines="0" tabSelected="1" workbookViewId="0">
      <selection activeCell="G19" sqref="G19"/>
    </sheetView>
  </sheetViews>
  <sheetFormatPr baseColWidth="10" defaultColWidth="10.6640625" defaultRowHeight="14"/>
  <cols>
    <col min="1" max="1" width="2.33203125" style="1" customWidth="1"/>
    <col min="2" max="2" width="2" style="1" customWidth="1"/>
    <col min="3" max="3" width="16.5" style="1" customWidth="1"/>
    <col min="4" max="5" width="14.1640625" style="1" customWidth="1"/>
    <col min="6" max="6" width="2.5" style="1" customWidth="1"/>
    <col min="7" max="7" width="19.5" style="1" customWidth="1"/>
    <col min="8" max="8" width="19.33203125" style="1" customWidth="1"/>
    <col min="9" max="10" width="10.6640625" style="1"/>
    <col min="11" max="11" width="12.1640625" style="1" bestFit="1" customWidth="1"/>
    <col min="12" max="16384" width="10.6640625" style="1"/>
  </cols>
  <sheetData>
    <row r="1" spans="2:27" ht="15" thickBot="1">
      <c r="H1" s="5"/>
      <c r="I1" s="5"/>
      <c r="J1" s="6"/>
      <c r="K1" s="5"/>
      <c r="L1" s="5"/>
      <c r="M1" s="5"/>
      <c r="N1" s="5"/>
      <c r="O1" s="5"/>
    </row>
    <row r="2" spans="2:27" ht="22" customHeight="1">
      <c r="B2" s="66" t="s">
        <v>91</v>
      </c>
      <c r="C2" s="67"/>
      <c r="D2" s="67"/>
      <c r="E2" s="67"/>
      <c r="F2" s="68"/>
      <c r="K2" s="61"/>
      <c r="L2" s="61"/>
      <c r="M2" s="61"/>
      <c r="N2" s="61"/>
      <c r="O2" s="61"/>
      <c r="P2" s="61"/>
      <c r="Q2" s="6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2:27">
      <c r="B3" s="38"/>
      <c r="C3" s="45"/>
      <c r="D3" s="45"/>
      <c r="E3" s="45"/>
      <c r="F3" s="46"/>
      <c r="K3" s="61"/>
      <c r="L3" s="61"/>
      <c r="M3" s="61"/>
      <c r="N3" s="61"/>
      <c r="O3" s="61"/>
      <c r="P3" s="61"/>
      <c r="Q3" s="6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2:27" ht="17" thickBot="1">
      <c r="B4" s="38"/>
      <c r="C4" s="39"/>
      <c r="D4" s="39"/>
      <c r="E4" s="39"/>
      <c r="F4" s="40"/>
      <c r="K4" s="32"/>
      <c r="L4" s="32"/>
      <c r="M4" s="32"/>
      <c r="N4" s="32"/>
      <c r="O4" s="32"/>
      <c r="P4" s="32"/>
      <c r="Q4" s="32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2:27" ht="18" thickBot="1">
      <c r="B5" s="38"/>
      <c r="C5" s="41" t="s">
        <v>3</v>
      </c>
      <c r="D5" s="42" t="s">
        <v>1</v>
      </c>
      <c r="E5" s="42" t="s">
        <v>2</v>
      </c>
      <c r="F5" s="43"/>
      <c r="I5" s="69" t="s">
        <v>83</v>
      </c>
      <c r="J5" s="70"/>
      <c r="K5" s="32"/>
      <c r="L5" s="33" t="s">
        <v>57</v>
      </c>
      <c r="M5" s="33" t="s">
        <v>58</v>
      </c>
      <c r="N5" s="33" t="s">
        <v>86</v>
      </c>
      <c r="O5" s="33" t="s">
        <v>87</v>
      </c>
      <c r="P5" s="32"/>
      <c r="Q5" s="32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2:27" ht="18" customHeight="1" thickBot="1">
      <c r="B6" s="38"/>
      <c r="C6" s="39"/>
      <c r="D6" s="35" t="s">
        <v>62</v>
      </c>
      <c r="E6" s="35" t="s">
        <v>62</v>
      </c>
      <c r="F6" s="44"/>
      <c r="G6" s="71" t="s">
        <v>94</v>
      </c>
      <c r="H6" s="72"/>
      <c r="I6" s="52" t="s">
        <v>61</v>
      </c>
      <c r="J6" s="53" t="s">
        <v>63</v>
      </c>
      <c r="K6" s="32" t="str">
        <f>D6&amp;E6</f>
        <v>NEDCNEDC</v>
      </c>
      <c r="L6" s="32">
        <f>IF($D$6=$E$6,0,VLOOKUP($K$6,Assumptions!$C$6:$G$17,2,0))</f>
        <v>0</v>
      </c>
      <c r="M6" s="32">
        <f>IF($D$6=$E$6,1,VLOOKUP($K$6,Assumptions!$C$6:$G$17,3,0))</f>
        <v>1</v>
      </c>
      <c r="N6" s="32">
        <f>IF($D$6=$E$6,0,VLOOKUP($K$6,Assumptions!$C$6:$G$17,4,0))</f>
        <v>0</v>
      </c>
      <c r="O6" s="32">
        <f>IF($D$6=$E$6,0,VLOOKUP($K$6,Assumptions!$C$6:$G$17,5,0))</f>
        <v>0</v>
      </c>
      <c r="P6" s="32"/>
      <c r="Q6" s="32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2:27" ht="18" customHeight="1" thickBot="1">
      <c r="B7" s="38"/>
      <c r="C7" s="39"/>
      <c r="D7" s="39"/>
      <c r="E7" s="39"/>
      <c r="F7" s="40"/>
      <c r="G7" s="56"/>
      <c r="H7" s="51"/>
      <c r="I7" s="54" t="s">
        <v>62</v>
      </c>
      <c r="J7" s="55" t="s">
        <v>64</v>
      </c>
      <c r="K7" s="32"/>
      <c r="L7" s="32"/>
      <c r="M7" s="32"/>
      <c r="N7" s="32"/>
      <c r="O7" s="32"/>
      <c r="P7" s="32"/>
      <c r="Q7" s="32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2:27" ht="18" customHeight="1" thickBot="1">
      <c r="B8" s="38"/>
      <c r="C8" s="39"/>
      <c r="D8" s="39"/>
      <c r="E8" s="39"/>
      <c r="F8" s="40"/>
      <c r="G8" s="56"/>
      <c r="H8" s="51"/>
      <c r="K8" s="32"/>
      <c r="L8" s="32"/>
      <c r="M8" s="32" t="s">
        <v>0</v>
      </c>
      <c r="N8" s="32" t="s">
        <v>89</v>
      </c>
      <c r="O8" s="32" t="s">
        <v>90</v>
      </c>
      <c r="P8" s="32"/>
      <c r="Q8" s="32" t="s">
        <v>90</v>
      </c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2:27" ht="18" customHeight="1" thickBot="1">
      <c r="B9" s="38"/>
      <c r="C9" s="42" t="s">
        <v>93</v>
      </c>
      <c r="D9" s="42" t="s">
        <v>1</v>
      </c>
      <c r="E9" s="42" t="s">
        <v>2</v>
      </c>
      <c r="F9" s="43"/>
      <c r="G9" s="56"/>
      <c r="H9" s="51"/>
      <c r="I9" s="69" t="s">
        <v>84</v>
      </c>
      <c r="J9" s="70"/>
      <c r="K9" s="32"/>
      <c r="L9" s="32" t="s">
        <v>0</v>
      </c>
      <c r="M9" s="32">
        <f>$D$16</f>
        <v>0</v>
      </c>
      <c r="N9" s="32">
        <f>VLOOKUP(D10,L9:M14,2,0)</f>
        <v>0</v>
      </c>
      <c r="O9" s="32">
        <f>(L6*D13/100+M6)*N9+N6*D13/100+O6</f>
        <v>0</v>
      </c>
      <c r="P9" s="32" t="s">
        <v>0</v>
      </c>
      <c r="Q9" s="32">
        <f>$O$9</f>
        <v>0</v>
      </c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2:27" ht="19" customHeight="1" thickBot="1">
      <c r="B10" s="38"/>
      <c r="C10" s="39"/>
      <c r="D10" s="35" t="s">
        <v>0</v>
      </c>
      <c r="E10" s="35" t="s">
        <v>81</v>
      </c>
      <c r="F10" s="44"/>
      <c r="G10" s="71" t="s">
        <v>95</v>
      </c>
      <c r="H10" s="72"/>
      <c r="I10" s="52" t="s">
        <v>49</v>
      </c>
      <c r="J10" s="53" t="s">
        <v>47</v>
      </c>
      <c r="K10" s="32"/>
      <c r="L10" s="32" t="s">
        <v>49</v>
      </c>
      <c r="M10" s="32" t="e">
        <f>Assumptions!$B$31/$D$16/Assumptions!$C$23</f>
        <v>#DIV/0!</v>
      </c>
      <c r="N10" s="32"/>
      <c r="O10" s="32"/>
      <c r="P10" s="32" t="s">
        <v>49</v>
      </c>
      <c r="Q10" s="32" t="e">
        <f>Assumptions!$B$31/$O$9/Assumptions!$C$23</f>
        <v>#DIV/0!</v>
      </c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2:27" ht="16" customHeight="1">
      <c r="B11" s="38"/>
      <c r="C11" s="39"/>
      <c r="D11" s="39"/>
      <c r="E11" s="39"/>
      <c r="F11" s="40"/>
      <c r="I11" s="52" t="s">
        <v>97</v>
      </c>
      <c r="J11" s="53" t="s">
        <v>81</v>
      </c>
      <c r="K11" s="32"/>
      <c r="L11" s="32" t="s">
        <v>80</v>
      </c>
      <c r="M11" s="32">
        <f>$D$16/Assumptions!$C$23</f>
        <v>0</v>
      </c>
      <c r="N11" s="32"/>
      <c r="O11" s="32"/>
      <c r="P11" s="32" t="s">
        <v>80</v>
      </c>
      <c r="Q11" s="32">
        <f>$O$9*Assumptions!$C$23</f>
        <v>0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2:27" ht="16" customHeight="1" thickBot="1">
      <c r="B12" s="38"/>
      <c r="C12" s="45"/>
      <c r="D12" s="45"/>
      <c r="E12" s="45"/>
      <c r="F12" s="46"/>
      <c r="I12" s="54" t="s">
        <v>98</v>
      </c>
      <c r="J12" s="55" t="s">
        <v>82</v>
      </c>
      <c r="K12" s="32"/>
      <c r="L12" s="32" t="s">
        <v>47</v>
      </c>
      <c r="M12" s="32" t="e">
        <f>Assumptions!$B$31/Assumptions!$C$25/Assumptions!$C$23/$D$16</f>
        <v>#DIV/0!</v>
      </c>
      <c r="N12" s="32"/>
      <c r="O12" s="32"/>
      <c r="P12" s="32" t="s">
        <v>47</v>
      </c>
      <c r="Q12" s="32" t="e">
        <f>Assumptions!$B$31/Assumptions!$C$25/Assumptions!$C$23/$O$9</f>
        <v>#DIV/0!</v>
      </c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2:27" ht="29" customHeight="1" thickBot="1">
      <c r="B13" s="38"/>
      <c r="C13" s="57" t="s">
        <v>50</v>
      </c>
      <c r="D13" s="36">
        <v>0</v>
      </c>
      <c r="E13" s="47" t="s">
        <v>51</v>
      </c>
      <c r="F13" s="48"/>
      <c r="G13" s="64" t="s">
        <v>96</v>
      </c>
      <c r="H13" s="65"/>
      <c r="K13" s="32"/>
      <c r="L13" s="32" t="s">
        <v>88</v>
      </c>
      <c r="M13" s="32">
        <f>Assumptions!$B$31*$D$16/Assumptions!$C$25/Assumptions!$C$23/100</f>
        <v>0</v>
      </c>
      <c r="N13" s="32"/>
      <c r="O13" s="32"/>
      <c r="P13" s="32" t="s">
        <v>88</v>
      </c>
      <c r="Q13" s="32">
        <f>$O$9*Assumptions!$C$25*Assumptions!$C$23*100/Assumptions!$B$31</f>
        <v>0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2:27">
      <c r="B14" s="38"/>
      <c r="C14" s="45"/>
      <c r="D14" s="45"/>
      <c r="E14" s="45"/>
      <c r="F14" s="46"/>
      <c r="G14" s="65"/>
      <c r="H14" s="65"/>
      <c r="K14" s="32"/>
      <c r="L14" s="32" t="s">
        <v>82</v>
      </c>
      <c r="M14" s="32">
        <f>Assumptions!$B$31*$D$16/Assumptions!$C$25/Assumptions!$C$23/Assumptions!$B$38</f>
        <v>0</v>
      </c>
      <c r="N14" s="32"/>
      <c r="O14" s="32"/>
      <c r="P14" s="32" t="s">
        <v>82</v>
      </c>
      <c r="Q14" s="32">
        <f>$O$9*Assumptions!$C$25*Assumptions!$C$23*Assumptions!$B$38/Assumptions!$B$31</f>
        <v>0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2:27" ht="15" thickBot="1">
      <c r="B15" s="38"/>
      <c r="C15" s="45"/>
      <c r="D15" s="45"/>
      <c r="E15" s="45"/>
      <c r="F15" s="46"/>
      <c r="K15" s="32"/>
      <c r="L15" s="32"/>
      <c r="M15" s="32"/>
      <c r="N15" s="32"/>
      <c r="O15" s="32"/>
      <c r="P15" s="32"/>
      <c r="Q15" s="32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2:27" ht="31" customHeight="1" thickBot="1">
      <c r="B16" s="38"/>
      <c r="C16" s="49" t="s">
        <v>4</v>
      </c>
      <c r="D16" s="36"/>
      <c r="E16" s="45"/>
      <c r="F16" s="46"/>
      <c r="G16" s="51" t="s">
        <v>92</v>
      </c>
      <c r="K16" s="32"/>
      <c r="L16" s="32"/>
      <c r="M16" s="32"/>
      <c r="N16" s="32"/>
      <c r="O16" s="32"/>
      <c r="P16" s="32"/>
      <c r="Q16" s="32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2:61" ht="17" thickBot="1">
      <c r="B17" s="38"/>
      <c r="C17" s="39"/>
      <c r="D17" s="50"/>
      <c r="E17" s="45"/>
      <c r="F17" s="46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2:61" ht="36" customHeight="1" thickBot="1">
      <c r="B18" s="38"/>
      <c r="C18" s="49" t="s">
        <v>5</v>
      </c>
      <c r="D18" s="37" t="str">
        <f>IF(D16="","Please Input Value in C13",VLOOKUP(E10,P9:Q14,2,0))</f>
        <v>Please Input Value in C13</v>
      </c>
      <c r="E18" s="45"/>
      <c r="F18" s="46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2:61" ht="32" customHeight="1" thickBot="1">
      <c r="B19" s="59"/>
      <c r="C19" s="63" t="s">
        <v>99</v>
      </c>
      <c r="D19" s="63"/>
      <c r="E19" s="63"/>
      <c r="F19" s="60"/>
      <c r="H19" s="45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pans="2:61"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BE20" s="1" t="s">
        <v>48</v>
      </c>
    </row>
    <row r="21" spans="2:61" ht="16" customHeight="1">
      <c r="B21" s="62" t="s">
        <v>100</v>
      </c>
      <c r="C21" s="62"/>
      <c r="D21" s="62"/>
      <c r="E21" s="62"/>
      <c r="F21" s="6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BC21" s="7" t="s">
        <v>6</v>
      </c>
      <c r="BD21" s="7"/>
      <c r="BE21" s="7"/>
      <c r="BF21" s="7"/>
      <c r="BG21" s="7"/>
      <c r="BH21" s="7"/>
      <c r="BI21" s="7"/>
    </row>
    <row r="22" spans="2:61"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BC22" s="7">
        <v>1</v>
      </c>
      <c r="BD22" s="7" t="s">
        <v>7</v>
      </c>
      <c r="BE22" s="7"/>
      <c r="BF22" s="7"/>
      <c r="BG22" s="7"/>
      <c r="BH22" s="7"/>
      <c r="BI22" s="7"/>
    </row>
    <row r="23" spans="2:61"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BC23" s="7">
        <v>2</v>
      </c>
      <c r="BD23" s="7" t="s">
        <v>8</v>
      </c>
      <c r="BE23" s="7"/>
      <c r="BF23" s="7"/>
      <c r="BG23" s="7"/>
      <c r="BH23" s="7"/>
      <c r="BI23" s="7"/>
    </row>
    <row r="24" spans="2:61"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BC24" s="7">
        <v>3</v>
      </c>
      <c r="BD24" s="7" t="s">
        <v>9</v>
      </c>
      <c r="BE24" s="7"/>
      <c r="BF24" s="7"/>
      <c r="BG24" s="7"/>
      <c r="BH24" s="7"/>
      <c r="BI24" s="7"/>
    </row>
    <row r="25" spans="2:61"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BC25" s="7"/>
      <c r="BD25" s="7"/>
      <c r="BE25" s="7"/>
      <c r="BF25" s="7"/>
      <c r="BG25" s="7"/>
      <c r="BH25" s="7"/>
      <c r="BI25" s="7"/>
    </row>
    <row r="26" spans="2:61">
      <c r="H26" s="58"/>
      <c r="BC26" s="7" t="s">
        <v>27</v>
      </c>
      <c r="BD26" s="7" t="str">
        <f>IF(D7=E7,"A",IF(AND(D7=1,E7=2),"B",IF(AND(D7=2,E7=1),"C",IF(AND(D7=1,E7=3),"D",IF(AND(D7=3,E7=1),"E",IF(AND(D7=2,E7=3),"F","G"))))))</f>
        <v>A</v>
      </c>
      <c r="BE26" s="7"/>
      <c r="BF26" s="7"/>
      <c r="BG26" s="7"/>
      <c r="BH26" s="7"/>
      <c r="BI26" s="7"/>
    </row>
    <row r="27" spans="2:61">
      <c r="BC27" s="7"/>
      <c r="BD27" s="7"/>
      <c r="BE27" s="7"/>
      <c r="BF27" s="7"/>
      <c r="BG27" s="7"/>
      <c r="BH27" s="7"/>
      <c r="BI27" s="7"/>
    </row>
    <row r="28" spans="2:61">
      <c r="BC28" s="7"/>
      <c r="BD28" s="7"/>
      <c r="BE28" s="7"/>
      <c r="BF28" s="7"/>
      <c r="BG28" s="7"/>
      <c r="BH28" s="7"/>
      <c r="BI28" s="7"/>
    </row>
    <row r="29" spans="2:61">
      <c r="BC29" s="7" t="s">
        <v>28</v>
      </c>
      <c r="BD29" s="7"/>
      <c r="BE29" s="7" t="s">
        <v>29</v>
      </c>
      <c r="BF29" s="7" t="str">
        <f>D10</f>
        <v>g/km</v>
      </c>
      <c r="BG29" s="7"/>
      <c r="BH29" s="7"/>
      <c r="BI29" s="7"/>
    </row>
    <row r="30" spans="2:61">
      <c r="BC30" s="7">
        <v>1</v>
      </c>
      <c r="BD30" s="7" t="s">
        <v>10</v>
      </c>
      <c r="BE30" s="7"/>
      <c r="BF30" s="7"/>
      <c r="BG30" s="7"/>
      <c r="BH30" s="7"/>
      <c r="BI30" s="7"/>
    </row>
    <row r="31" spans="2:61">
      <c r="BC31" s="7">
        <v>2</v>
      </c>
      <c r="BD31" s="7" t="s">
        <v>11</v>
      </c>
      <c r="BE31" s="7"/>
      <c r="BF31" s="7"/>
      <c r="BG31" s="7"/>
      <c r="BH31" s="7"/>
      <c r="BI31" s="7"/>
    </row>
    <row r="32" spans="2:61">
      <c r="BC32" s="7">
        <v>3</v>
      </c>
      <c r="BD32" s="7" t="s">
        <v>12</v>
      </c>
      <c r="BE32" s="7"/>
      <c r="BF32" s="7"/>
      <c r="BG32" s="7"/>
      <c r="BH32" s="7"/>
      <c r="BI32" s="7"/>
    </row>
    <row r="33" spans="55:61">
      <c r="BC33" s="7">
        <v>4</v>
      </c>
      <c r="BD33" s="7" t="s">
        <v>13</v>
      </c>
      <c r="BE33" s="7"/>
      <c r="BF33" s="7"/>
      <c r="BG33" s="7"/>
      <c r="BH33" s="7"/>
      <c r="BI33" s="7"/>
    </row>
    <row r="34" spans="55:61">
      <c r="BC34" s="7">
        <v>5</v>
      </c>
      <c r="BD34" s="7" t="s">
        <v>14</v>
      </c>
      <c r="BE34" s="7"/>
      <c r="BF34" s="7"/>
      <c r="BG34" s="7"/>
      <c r="BH34" s="7"/>
      <c r="BI34" s="7"/>
    </row>
    <row r="35" spans="55:61">
      <c r="BC35" s="7"/>
      <c r="BD35" s="7"/>
      <c r="BE35" s="7"/>
      <c r="BF35" s="7"/>
      <c r="BG35" s="7"/>
      <c r="BH35" s="7"/>
      <c r="BI35" s="7"/>
    </row>
    <row r="36" spans="55:61">
      <c r="BC36" s="7" t="s">
        <v>15</v>
      </c>
      <c r="BD36" s="7"/>
      <c r="BE36" s="7"/>
      <c r="BF36" s="7"/>
      <c r="BG36" s="7"/>
      <c r="BH36" s="7"/>
      <c r="BI36" s="7"/>
    </row>
    <row r="37" spans="55:61">
      <c r="BC37" s="7">
        <v>1</v>
      </c>
      <c r="BD37" s="7" t="s">
        <v>16</v>
      </c>
      <c r="BE37" s="7"/>
      <c r="BF37" s="7"/>
      <c r="BG37" s="7"/>
      <c r="BH37" s="7"/>
      <c r="BI37" s="7"/>
    </row>
    <row r="38" spans="55:61">
      <c r="BC38" s="7">
        <v>2</v>
      </c>
      <c r="BD38" s="7" t="s">
        <v>17</v>
      </c>
      <c r="BE38" s="7"/>
      <c r="BF38" s="7"/>
      <c r="BG38" s="7"/>
      <c r="BH38" s="7"/>
      <c r="BI38" s="7"/>
    </row>
    <row r="39" spans="55:61">
      <c r="BC39" s="7">
        <v>3</v>
      </c>
      <c r="BD39" s="7" t="s">
        <v>18</v>
      </c>
      <c r="BE39" s="8"/>
      <c r="BF39" s="9"/>
      <c r="BG39" s="9"/>
      <c r="BH39" s="9"/>
      <c r="BI39" s="9"/>
    </row>
    <row r="40" spans="55:61">
      <c r="BC40" s="7">
        <v>4</v>
      </c>
      <c r="BD40" s="7" t="s">
        <v>19</v>
      </c>
      <c r="BE40" s="8"/>
      <c r="BF40" s="8"/>
      <c r="BG40" s="8"/>
      <c r="BH40" s="8"/>
      <c r="BI40" s="8"/>
    </row>
    <row r="41" spans="55:61">
      <c r="BC41" s="10"/>
      <c r="BD41" s="10"/>
      <c r="BE41" s="10"/>
      <c r="BF41" s="10"/>
      <c r="BG41" s="10"/>
      <c r="BH41" s="10"/>
      <c r="BI41" s="10"/>
    </row>
    <row r="42" spans="55:61">
      <c r="BC42" s="10"/>
      <c r="BD42" s="10"/>
      <c r="BE42" s="10"/>
      <c r="BF42" s="10"/>
      <c r="BG42" s="11"/>
      <c r="BH42" s="11"/>
      <c r="BI42" s="11"/>
    </row>
    <row r="43" spans="55:61">
      <c r="BC43" s="10" t="s">
        <v>20</v>
      </c>
      <c r="BD43" s="10" t="s">
        <v>30</v>
      </c>
      <c r="BE43" s="10" t="s">
        <v>31</v>
      </c>
      <c r="BF43" s="10">
        <v>1</v>
      </c>
      <c r="BG43" s="10">
        <v>2</v>
      </c>
      <c r="BH43" s="10">
        <v>3</v>
      </c>
      <c r="BI43" s="10">
        <v>4</v>
      </c>
    </row>
    <row r="44" spans="55:61">
      <c r="BC44" s="10" t="s">
        <v>21</v>
      </c>
      <c r="BD44" s="10" t="s">
        <v>22</v>
      </c>
      <c r="BE44" s="10" t="s">
        <v>32</v>
      </c>
      <c r="BF44" s="11" t="e">
        <f>ROUND(#REF!,0)</f>
        <v>#REF!</v>
      </c>
      <c r="BG44" s="11" t="e">
        <f>ROUND(#REF!,0)</f>
        <v>#REF!</v>
      </c>
      <c r="BH44" s="11" t="e">
        <f>ROUND(#REF!,0)</f>
        <v>#REF!</v>
      </c>
      <c r="BI44" s="11" t="e">
        <f>ROUND(#REF!,0)</f>
        <v>#REF!</v>
      </c>
    </row>
    <row r="45" spans="55:61">
      <c r="BC45" s="10"/>
      <c r="BD45" s="10"/>
      <c r="BE45" s="10"/>
      <c r="BF45" s="10"/>
      <c r="BG45" s="10"/>
      <c r="BH45" s="10"/>
      <c r="BI45" s="10"/>
    </row>
    <row r="46" spans="55:61">
      <c r="BC46" s="10"/>
      <c r="BD46" s="10"/>
      <c r="BE46" s="10"/>
      <c r="BF46" s="11"/>
      <c r="BG46" s="11"/>
      <c r="BH46" s="11"/>
      <c r="BI46" s="11"/>
    </row>
    <row r="47" spans="55:61">
      <c r="BC47" s="12" t="s">
        <v>23</v>
      </c>
      <c r="BD47" s="12"/>
      <c r="BE47" s="13" t="str">
        <f>BE52</f>
        <v>error</v>
      </c>
      <c r="BF47" s="10"/>
      <c r="BG47" s="10"/>
      <c r="BH47" s="10"/>
      <c r="BI47" s="10"/>
    </row>
    <row r="48" spans="55:61">
      <c r="BC48" s="12" t="s">
        <v>24</v>
      </c>
      <c r="BD48" s="12"/>
      <c r="BE48" s="13" t="e">
        <f>IF(BE49="Input Required in B6",BE49,ROUND(BE49,1))</f>
        <v>#VALUE!</v>
      </c>
      <c r="BF48" s="11"/>
      <c r="BG48" s="11"/>
      <c r="BH48" s="11"/>
      <c r="BI48" s="11"/>
    </row>
    <row r="49" spans="11:61">
      <c r="BC49" s="12" t="s">
        <v>25</v>
      </c>
      <c r="BD49" s="12"/>
      <c r="BE49" s="14" t="str">
        <f>IF(BE47="","Input Required in B6",IF(BD26="A",BE47,IF(BD26="B",BE47/(#REF!*LN(BE47)+#REF!),IF(BD26="C",BE47/(#REF!*LN(BE47)+#REF!),IF(BD26="E",(#REF!*LN(BE47/2.35)+#REF!)*BE47,IF(BD26="G",BE47*(#REF!*LN(BE47/2.35)+#REF!),IF(BD26="D",BE47/(#REF!*LN(BE47)+#REF!),IF(BD26="F",BE47/(#REF!*LN(BE47)+#REF!),NA()))))))))</f>
        <v>error</v>
      </c>
      <c r="BF49" s="11"/>
      <c r="BG49" s="11"/>
      <c r="BH49" s="11"/>
      <c r="BI49" s="11"/>
    </row>
    <row r="50" spans="11:61">
      <c r="BC50" s="12" t="s">
        <v>26</v>
      </c>
      <c r="BD50" s="12"/>
      <c r="BE50" s="13" t="e">
        <f>IF(BE48="Input Required in B6","",BE48)</f>
        <v>#VALUE!</v>
      </c>
      <c r="BF50" s="11"/>
      <c r="BG50" s="11"/>
      <c r="BH50" s="11"/>
      <c r="BI50" s="11"/>
    </row>
    <row r="51" spans="11:61">
      <c r="BC51" s="12" t="s">
        <v>33</v>
      </c>
      <c r="BD51" s="12"/>
      <c r="BE51" s="13" t="e">
        <f>ROUND(HLOOKUP(#REF!,BF43:BI44,2)/BE50,1)</f>
        <v>#REF!</v>
      </c>
      <c r="BF51" s="11"/>
      <c r="BG51" s="11"/>
      <c r="BH51" s="11"/>
      <c r="BI51" s="11"/>
    </row>
    <row r="52" spans="11:61">
      <c r="BC52" s="12" t="s">
        <v>34</v>
      </c>
      <c r="BD52" s="12"/>
      <c r="BE52" s="13" t="str">
        <f>IF(D10=1,D16,IF(D10=2,D16*2.35,IF(D10=3,235/D16,IF(D10=4,BE53,IF(D10=5,BE53*1.609,"error")))))</f>
        <v>error</v>
      </c>
      <c r="BF52" s="11"/>
      <c r="BG52" s="11"/>
      <c r="BH52" s="11"/>
      <c r="BI52" s="11"/>
    </row>
    <row r="53" spans="11:61">
      <c r="BC53" s="12" t="s">
        <v>35</v>
      </c>
      <c r="BD53" s="12"/>
      <c r="BE53" s="13" t="e">
        <f>ROUND(HLOOKUP(#REF!,BF43:BI44,2)/D16,5)</f>
        <v>#REF!</v>
      </c>
      <c r="BF53" s="11"/>
      <c r="BG53" s="11"/>
      <c r="BH53" s="11"/>
      <c r="BI53" s="11"/>
    </row>
    <row r="54" spans="11:61">
      <c r="K54" s="4"/>
      <c r="L54" s="4"/>
      <c r="M54" s="4"/>
      <c r="N54" s="4"/>
      <c r="BC54" s="10"/>
      <c r="BD54" s="10"/>
      <c r="BE54" s="10"/>
      <c r="BF54" s="15"/>
      <c r="BG54" s="15"/>
      <c r="BH54" s="15"/>
      <c r="BI54" s="15"/>
    </row>
    <row r="55" spans="11:61">
      <c r="K55" s="3"/>
      <c r="L55" s="3"/>
      <c r="M55" s="3"/>
      <c r="N55" s="3"/>
    </row>
    <row r="56" spans="11:61">
      <c r="K56" s="3"/>
      <c r="L56" s="3"/>
      <c r="M56" s="3"/>
      <c r="N56" s="3"/>
    </row>
    <row r="70" spans="9:9">
      <c r="I70" s="2"/>
    </row>
    <row r="71" spans="9:9">
      <c r="I71" s="2"/>
    </row>
    <row r="72" spans="9:9">
      <c r="I72" s="2"/>
    </row>
    <row r="73" spans="9:9">
      <c r="I73" s="2"/>
    </row>
  </sheetData>
  <sheetProtection password="CC71" sheet="1" objects="1" scenarios="1"/>
  <protectedRanges>
    <protectedRange sqref="D16" name="区域6"/>
    <protectedRange sqref="D13" name="区域5"/>
    <protectedRange sqref="E10:F10" name="区域4"/>
    <protectedRange sqref="D10" name="区域3"/>
    <protectedRange sqref="E6:F6" name="区域2"/>
    <protectedRange sqref="D6" name="区域1"/>
  </protectedRanges>
  <mergeCells count="8">
    <mergeCell ref="B21:F21"/>
    <mergeCell ref="C19:E19"/>
    <mergeCell ref="G13:H14"/>
    <mergeCell ref="B2:F2"/>
    <mergeCell ref="I5:J5"/>
    <mergeCell ref="I9:J9"/>
    <mergeCell ref="G6:H6"/>
    <mergeCell ref="G10:H10"/>
  </mergeCells>
  <phoneticPr fontId="32" type="noConversion"/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Assumptions!$A$46:$A$49</xm:f>
          </x14:formula1>
          <xm:sqref>D6:E6</xm:sqref>
        </x14:dataValidation>
        <x14:dataValidation type="list" allowBlank="1" showInputMessage="1" showErrorMessage="1" xr:uid="{00000000-0002-0000-0000-000001000000}">
          <x14:formula1>
            <xm:f>Assumptions!$B$46:$B$51</xm:f>
          </x14:formula1>
          <xm:sqref>D10:E10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2:H51"/>
  <sheetViews>
    <sheetView topLeftCell="A10" zoomScale="120" zoomScaleNormal="120" zoomScalePageLayoutView="120" workbookViewId="0">
      <selection activeCell="F24" sqref="F24"/>
    </sheetView>
  </sheetViews>
  <sheetFormatPr baseColWidth="10" defaultColWidth="9.83203125" defaultRowHeight="13"/>
  <cols>
    <col min="1" max="16384" width="9.83203125" style="17"/>
  </cols>
  <sheetData>
    <row r="2" spans="1:7" ht="15" customHeight="1">
      <c r="A2" s="16" t="s">
        <v>52</v>
      </c>
      <c r="B2" s="16"/>
    </row>
    <row r="3" spans="1:7" ht="14">
      <c r="A3" s="20" t="s">
        <v>53</v>
      </c>
      <c r="B3" s="20" t="s">
        <v>85</v>
      </c>
      <c r="F3" s="17" t="s">
        <v>54</v>
      </c>
    </row>
    <row r="4" spans="1:7">
      <c r="A4" s="21" t="s">
        <v>55</v>
      </c>
      <c r="B4" s="21" t="s">
        <v>56</v>
      </c>
      <c r="C4" s="21"/>
      <c r="D4" s="21" t="s">
        <v>57</v>
      </c>
      <c r="E4" s="21" t="s">
        <v>58</v>
      </c>
      <c r="F4" s="21" t="s">
        <v>86</v>
      </c>
      <c r="G4" s="21" t="s">
        <v>87</v>
      </c>
    </row>
    <row r="5" spans="1:7">
      <c r="A5" s="21" t="s">
        <v>59</v>
      </c>
      <c r="B5" s="21" t="s">
        <v>59</v>
      </c>
      <c r="C5" s="21"/>
      <c r="D5" s="21" t="s">
        <v>60</v>
      </c>
      <c r="E5" s="21" t="s">
        <v>60</v>
      </c>
      <c r="F5" s="21" t="s">
        <v>59</v>
      </c>
      <c r="G5" s="21" t="s">
        <v>59</v>
      </c>
    </row>
    <row r="6" spans="1:7">
      <c r="A6" s="22" t="s">
        <v>61</v>
      </c>
      <c r="B6" s="22" t="s">
        <v>62</v>
      </c>
      <c r="C6" s="34" t="str">
        <f>B6&amp;A6</f>
        <v>NEDCCAFE</v>
      </c>
      <c r="D6" s="22">
        <v>-9.7500000000000003E-2</v>
      </c>
      <c r="E6" s="22">
        <v>0.86580000000000001</v>
      </c>
      <c r="F6" s="22">
        <v>9.8520000000000003</v>
      </c>
      <c r="G6" s="22">
        <v>14.076000000000001</v>
      </c>
    </row>
    <row r="7" spans="1:7">
      <c r="A7" s="22" t="s">
        <v>62</v>
      </c>
      <c r="B7" s="22" t="s">
        <v>61</v>
      </c>
      <c r="C7" s="34" t="str">
        <f t="shared" ref="C7:C17" si="0">B7&amp;A7</f>
        <v>CAFENEDC</v>
      </c>
      <c r="D7" s="22">
        <v>8.8400000000000006E-2</v>
      </c>
      <c r="E7" s="22">
        <v>1.1325000000000001</v>
      </c>
      <c r="F7" s="22">
        <v>-7.48</v>
      </c>
      <c r="G7" s="22">
        <v>-13.739000000000001</v>
      </c>
    </row>
    <row r="8" spans="1:7">
      <c r="A8" s="22" t="s">
        <v>61</v>
      </c>
      <c r="B8" s="22" t="s">
        <v>63</v>
      </c>
      <c r="C8" s="34" t="str">
        <f t="shared" si="0"/>
        <v>JC08CAFE</v>
      </c>
      <c r="D8" s="22">
        <v>-0.1162</v>
      </c>
      <c r="E8" s="22">
        <v>0.72119999999999995</v>
      </c>
      <c r="F8" s="22">
        <v>7.6020000000000003</v>
      </c>
      <c r="G8" s="22">
        <v>36.735999999999997</v>
      </c>
    </row>
    <row r="9" spans="1:7">
      <c r="A9" s="22" t="s">
        <v>63</v>
      </c>
      <c r="B9" s="22" t="s">
        <v>61</v>
      </c>
      <c r="C9" s="34" t="str">
        <f t="shared" si="0"/>
        <v>CAFEJC08</v>
      </c>
      <c r="D9" s="22">
        <v>9.4100000000000003E-2</v>
      </c>
      <c r="E9" s="22">
        <v>1.2748999999999999</v>
      </c>
      <c r="F9" s="22">
        <v>0.03</v>
      </c>
      <c r="G9" s="22">
        <v>-38.423000000000002</v>
      </c>
    </row>
    <row r="10" spans="1:7">
      <c r="A10" s="22" t="s">
        <v>61</v>
      </c>
      <c r="B10" s="22" t="s">
        <v>64</v>
      </c>
      <c r="C10" s="34" t="str">
        <f t="shared" si="0"/>
        <v>WLTCCAFE</v>
      </c>
      <c r="D10" s="22">
        <v>-3.4799999999999998E-2</v>
      </c>
      <c r="E10" s="22">
        <v>0.93179999999999996</v>
      </c>
      <c r="F10" s="22">
        <v>11.826000000000001</v>
      </c>
      <c r="G10" s="22">
        <v>-8.827</v>
      </c>
    </row>
    <row r="11" spans="1:7">
      <c r="A11" s="22" t="s">
        <v>64</v>
      </c>
      <c r="B11" s="22" t="s">
        <v>61</v>
      </c>
      <c r="C11" s="34" t="str">
        <f t="shared" si="0"/>
        <v>CAFEWLTC</v>
      </c>
      <c r="D11" s="22">
        <v>5.8700000000000002E-2</v>
      </c>
      <c r="E11" s="22">
        <v>1.0454000000000001</v>
      </c>
      <c r="F11" s="22">
        <v>-14.6</v>
      </c>
      <c r="G11" s="22">
        <v>12.59</v>
      </c>
    </row>
    <row r="12" spans="1:7">
      <c r="A12" s="22" t="s">
        <v>62</v>
      </c>
      <c r="B12" s="22" t="s">
        <v>63</v>
      </c>
      <c r="C12" s="34" t="str">
        <f t="shared" si="0"/>
        <v>JC08NEDC</v>
      </c>
      <c r="D12" s="22">
        <v>-2.2700000000000001E-2</v>
      </c>
      <c r="E12" s="22">
        <v>0.84570000000000001</v>
      </c>
      <c r="F12" s="22">
        <v>-2.891</v>
      </c>
      <c r="G12" s="22">
        <v>24.84</v>
      </c>
    </row>
    <row r="13" spans="1:7">
      <c r="A13" s="22" t="s">
        <v>63</v>
      </c>
      <c r="B13" s="22" t="s">
        <v>62</v>
      </c>
      <c r="C13" s="34" t="str">
        <f t="shared" si="0"/>
        <v>NEDCJC08</v>
      </c>
      <c r="D13" s="22">
        <v>2.9000000000000001E-2</v>
      </c>
      <c r="E13" s="22">
        <v>1.143</v>
      </c>
      <c r="F13" s="22">
        <v>3.786</v>
      </c>
      <c r="G13" s="22">
        <v>-24.907</v>
      </c>
    </row>
    <row r="14" spans="1:7">
      <c r="A14" s="22" t="s">
        <v>62</v>
      </c>
      <c r="B14" s="22" t="s">
        <v>64</v>
      </c>
      <c r="C14" s="34" t="str">
        <f t="shared" si="0"/>
        <v>WLTCNEDC</v>
      </c>
      <c r="D14" s="22">
        <v>4.8599999999999997E-2</v>
      </c>
      <c r="E14" s="22">
        <v>1.0475000000000001</v>
      </c>
      <c r="F14" s="22">
        <v>5.0369999999999999</v>
      </c>
      <c r="G14" s="22">
        <v>-22.727</v>
      </c>
    </row>
    <row r="15" spans="1:7">
      <c r="A15" s="22" t="s">
        <v>64</v>
      </c>
      <c r="B15" s="22" t="s">
        <v>62</v>
      </c>
      <c r="C15" s="34" t="str">
        <f t="shared" si="0"/>
        <v>NEDCWLTC</v>
      </c>
      <c r="D15" s="22">
        <v>-4.9399999999999999E-2</v>
      </c>
      <c r="E15" s="22">
        <v>0.89839999999999998</v>
      </c>
      <c r="F15" s="22">
        <v>-3.7519999999999998</v>
      </c>
      <c r="G15" s="22">
        <v>28.059000000000001</v>
      </c>
    </row>
    <row r="16" spans="1:7">
      <c r="A16" s="22" t="s">
        <v>63</v>
      </c>
      <c r="B16" s="22" t="s">
        <v>64</v>
      </c>
      <c r="C16" s="34" t="str">
        <f t="shared" si="0"/>
        <v>WLTCJC08</v>
      </c>
      <c r="D16" s="22">
        <v>7.22E-2</v>
      </c>
      <c r="E16" s="22">
        <v>1.1532</v>
      </c>
      <c r="F16" s="22">
        <v>11.23</v>
      </c>
      <c r="G16" s="22">
        <v>-45.171999999999997</v>
      </c>
    </row>
    <row r="17" spans="1:8">
      <c r="A17" s="22" t="s">
        <v>64</v>
      </c>
      <c r="B17" s="22" t="s">
        <v>63</v>
      </c>
      <c r="C17" s="34" t="str">
        <f t="shared" si="0"/>
        <v>JC08WLTC</v>
      </c>
      <c r="D17" s="22">
        <v>-6.5299999999999997E-2</v>
      </c>
      <c r="E17" s="22">
        <v>0.7319</v>
      </c>
      <c r="F17" s="22">
        <v>-6.17</v>
      </c>
      <c r="G17" s="22">
        <v>53.292999999999999</v>
      </c>
    </row>
    <row r="20" spans="1:8" ht="16">
      <c r="A20" s="16" t="s">
        <v>65</v>
      </c>
      <c r="B20" s="16"/>
      <c r="C20" s="18"/>
      <c r="D20" s="18"/>
      <c r="E20" s="18"/>
    </row>
    <row r="21" spans="1:8" ht="16">
      <c r="A21" s="23" t="s">
        <v>66</v>
      </c>
      <c r="B21" s="23" t="s">
        <v>67</v>
      </c>
      <c r="C21" s="18"/>
      <c r="D21" s="18"/>
      <c r="E21" s="18"/>
    </row>
    <row r="22" spans="1:8" ht="16">
      <c r="A22" s="18" t="s">
        <v>41</v>
      </c>
      <c r="B22" s="18" t="s">
        <v>42</v>
      </c>
      <c r="C22" s="18">
        <v>3.7850000000000001</v>
      </c>
      <c r="D22" s="18"/>
      <c r="E22" s="18"/>
    </row>
    <row r="23" spans="1:8" ht="16">
      <c r="A23" s="18" t="s">
        <v>43</v>
      </c>
      <c r="B23" s="18" t="s">
        <v>44</v>
      </c>
      <c r="C23" s="18">
        <v>1.609</v>
      </c>
      <c r="D23" s="18"/>
      <c r="E23" s="18"/>
    </row>
    <row r="24" spans="1:8" ht="16">
      <c r="A24" s="18" t="s">
        <v>45</v>
      </c>
      <c r="B24" s="18" t="s">
        <v>46</v>
      </c>
      <c r="C24" s="18">
        <v>453.59199999999998</v>
      </c>
      <c r="D24" s="18"/>
      <c r="E24" s="18"/>
    </row>
    <row r="25" spans="1:8" ht="16">
      <c r="A25" s="18" t="s">
        <v>47</v>
      </c>
      <c r="B25" s="18" t="s">
        <v>49</v>
      </c>
      <c r="C25" s="24">
        <f>C22/C23</f>
        <v>2.3523927905531385</v>
      </c>
      <c r="D25" s="18"/>
      <c r="E25" s="18"/>
    </row>
    <row r="26" spans="1:8" ht="16">
      <c r="A26" s="18" t="s">
        <v>43</v>
      </c>
      <c r="B26" s="18" t="s">
        <v>44</v>
      </c>
      <c r="C26" s="24">
        <v>0.62</v>
      </c>
      <c r="D26" s="18"/>
      <c r="E26" s="18"/>
    </row>
    <row r="27" spans="1:8" ht="16">
      <c r="D27" s="18"/>
      <c r="E27" s="18"/>
    </row>
    <row r="28" spans="1:8" ht="16">
      <c r="A28" s="16" t="s">
        <v>68</v>
      </c>
      <c r="B28" s="16"/>
      <c r="C28" s="16"/>
      <c r="D28" s="18"/>
      <c r="E28" s="18"/>
    </row>
    <row r="29" spans="1:8" ht="14">
      <c r="A29" s="19"/>
      <c r="B29" s="19" t="s">
        <v>36</v>
      </c>
      <c r="C29" s="19" t="s">
        <v>37</v>
      </c>
      <c r="D29" s="19" t="s">
        <v>38</v>
      </c>
      <c r="E29" s="19" t="s">
        <v>39</v>
      </c>
      <c r="F29" s="19" t="s">
        <v>69</v>
      </c>
    </row>
    <row r="30" spans="1:8" ht="14">
      <c r="A30" s="19" t="s">
        <v>40</v>
      </c>
      <c r="B30" s="19">
        <v>19.5</v>
      </c>
      <c r="C30" s="19">
        <v>22.4</v>
      </c>
      <c r="D30" s="19">
        <v>13.5</v>
      </c>
      <c r="E30" s="19">
        <v>13.7</v>
      </c>
      <c r="F30" s="25">
        <f>F32*$C$22/$C$24</f>
        <v>18.933678283567613</v>
      </c>
    </row>
    <row r="31" spans="1:8" ht="14">
      <c r="A31" s="19" t="s">
        <v>70</v>
      </c>
      <c r="B31" s="26">
        <f>B30*$C$24</f>
        <v>8845.0439999999999</v>
      </c>
      <c r="C31" s="26">
        <f>C30*$C$24</f>
        <v>10160.460799999999</v>
      </c>
      <c r="D31" s="26">
        <f>D30*$C$24</f>
        <v>6123.4920000000002</v>
      </c>
      <c r="E31" s="26">
        <f>E30*$C$24</f>
        <v>6214.210399999999</v>
      </c>
      <c r="F31" s="26">
        <f>F30*$C$24</f>
        <v>8588.1650000000009</v>
      </c>
      <c r="G31" s="27"/>
      <c r="H31" s="27"/>
    </row>
    <row r="32" spans="1:8" ht="14">
      <c r="A32" s="19" t="s">
        <v>71</v>
      </c>
      <c r="B32" s="17">
        <f>B30*$C$24/$C$22</f>
        <v>2336.8676354029062</v>
      </c>
      <c r="C32" s="17">
        <f>C30*$C$24/$C$22</f>
        <v>2684.4017965653893</v>
      </c>
      <c r="D32" s="17">
        <f>D30*$C$24/$C$22</f>
        <v>1617.8314398943196</v>
      </c>
      <c r="E32" s="17">
        <f>E30*$C$24/$C$22</f>
        <v>1641.7993130779389</v>
      </c>
      <c r="F32" s="28">
        <v>2269</v>
      </c>
    </row>
    <row r="34" spans="1:5">
      <c r="B34" s="17">
        <f>B32*7/100</f>
        <v>163.58073447820342</v>
      </c>
      <c r="C34" s="17">
        <f>C32*7/100</f>
        <v>187.90812575957725</v>
      </c>
      <c r="D34" s="17">
        <f>D32*7/100</f>
        <v>113.24820079260236</v>
      </c>
      <c r="E34" s="17">
        <f>E32*7/100</f>
        <v>114.92595191545571</v>
      </c>
    </row>
    <row r="36" spans="1:5" ht="16">
      <c r="A36" s="16" t="s">
        <v>72</v>
      </c>
      <c r="B36" s="16"/>
      <c r="C36" s="16"/>
    </row>
    <row r="37" spans="1:5">
      <c r="B37" s="21" t="s">
        <v>73</v>
      </c>
      <c r="C37" s="21" t="s">
        <v>74</v>
      </c>
      <c r="D37" s="21" t="s">
        <v>75</v>
      </c>
    </row>
    <row r="38" spans="1:5">
      <c r="A38" s="17" t="s">
        <v>76</v>
      </c>
      <c r="B38" s="21">
        <v>31.65</v>
      </c>
      <c r="C38" s="21">
        <v>43.06</v>
      </c>
      <c r="D38" s="21">
        <v>0.73499999999999999</v>
      </c>
    </row>
    <row r="39" spans="1:5">
      <c r="A39" s="17" t="s">
        <v>69</v>
      </c>
      <c r="B39" s="21">
        <v>28.99</v>
      </c>
      <c r="C39" s="21">
        <v>38.92</v>
      </c>
      <c r="D39" s="21">
        <v>0.745</v>
      </c>
    </row>
    <row r="40" spans="1:5">
      <c r="A40" s="17" t="s">
        <v>77</v>
      </c>
      <c r="B40" s="21">
        <v>20.09</v>
      </c>
      <c r="C40" s="21">
        <v>24.8</v>
      </c>
      <c r="D40" s="21">
        <v>0.81</v>
      </c>
    </row>
    <row r="42" spans="1:5" ht="14">
      <c r="A42" s="29" t="s">
        <v>78</v>
      </c>
      <c r="B42" s="17" t="s">
        <v>79</v>
      </c>
    </row>
    <row r="45" spans="1:5">
      <c r="A45" s="31" t="s">
        <v>83</v>
      </c>
      <c r="B45" s="31" t="s">
        <v>84</v>
      </c>
    </row>
    <row r="46" spans="1:5">
      <c r="A46" s="30" t="s">
        <v>61</v>
      </c>
      <c r="B46" s="30" t="s">
        <v>49</v>
      </c>
    </row>
    <row r="47" spans="1:5">
      <c r="A47" s="30" t="s">
        <v>62</v>
      </c>
      <c r="B47" s="30" t="s">
        <v>0</v>
      </c>
    </row>
    <row r="48" spans="1:5">
      <c r="A48" s="30" t="s">
        <v>63</v>
      </c>
      <c r="B48" s="30" t="s">
        <v>80</v>
      </c>
    </row>
    <row r="49" spans="1:2">
      <c r="A49" s="30" t="s">
        <v>64</v>
      </c>
      <c r="B49" s="30" t="s">
        <v>47</v>
      </c>
    </row>
    <row r="50" spans="1:2">
      <c r="B50" s="30" t="s">
        <v>81</v>
      </c>
    </row>
    <row r="51" spans="1:2">
      <c r="B51" s="30" t="s">
        <v>82</v>
      </c>
    </row>
  </sheetData>
  <sheetProtection password="CC71" sheet="1" objects="1" scenarios="1"/>
  <phoneticPr fontId="32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Assumptions</vt:lpstr>
    </vt:vector>
  </TitlesOfParts>
  <Company>ICCT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He</dc:creator>
  <cp:lastModifiedBy>Zifei Yang</cp:lastModifiedBy>
  <cp:lastPrinted>2013-05-19T20:12:39Z</cp:lastPrinted>
  <dcterms:created xsi:type="dcterms:W3CDTF">2009-05-11T16:52:59Z</dcterms:created>
  <dcterms:modified xsi:type="dcterms:W3CDTF">2022-03-11T03:19:27Z</dcterms:modified>
</cp:coreProperties>
</file>